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sacosta\Documents\D\Ingeurbe\Liquidación gastos\"/>
    </mc:Choice>
  </mc:AlternateContent>
  <xr:revisionPtr revIDLastSave="0" documentId="13_ncr:1_{270D49BE-F726-4E61-9AF6-D675D0EB89CD}" xr6:coauthVersionLast="47" xr6:coauthVersionMax="47" xr10:uidLastSave="{00000000-0000-0000-0000-000000000000}"/>
  <bookViews>
    <workbookView xWindow="-120" yWindow="-120" windowWidth="20730" windowHeight="11160" tabRatio="885" xr2:uid="{00000000-000D-0000-FFFF-FFFF00000000}"/>
  </bookViews>
  <sheets>
    <sheet name="Gastos " sheetId="27" r:id="rId1"/>
    <sheet name="Hoja3" sheetId="28" state="hidden" r:id="rId2"/>
  </sheets>
  <definedNames>
    <definedName name="BuiltIn_Print_Area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9" i="28" l="1"/>
  <c r="B7" i="27"/>
  <c r="E22" i="27" l="1"/>
  <c r="E16" i="27"/>
  <c r="E20" i="27"/>
  <c r="E21" i="27" s="1"/>
  <c r="E14" i="27"/>
  <c r="E30" i="27" l="1"/>
  <c r="E23" i="27"/>
  <c r="E17" i="27"/>
  <c r="A1" i="27"/>
  <c r="A42" i="27" l="1"/>
  <c r="E32" i="27" l="1"/>
  <c r="C21" i="28"/>
  <c r="C19" i="28"/>
  <c r="C20" i="28"/>
  <c r="C16" i="28"/>
  <c r="C15" i="28"/>
  <c r="C18" i="28"/>
  <c r="E13" i="27" l="1"/>
  <c r="B3" i="28"/>
  <c r="B2" i="28"/>
  <c r="A58" i="28" l="1"/>
  <c r="E19" i="27" s="1"/>
  <c r="E18" i="27" s="1"/>
  <c r="A57" i="28"/>
  <c r="C13" i="28"/>
  <c r="C14" i="28"/>
  <c r="B5" i="28"/>
  <c r="B6" i="28"/>
  <c r="B7" i="28"/>
  <c r="C24" i="28" l="1"/>
  <c r="C27" i="28" s="1"/>
  <c r="C29" i="28" s="1"/>
  <c r="E31" i="27"/>
  <c r="C28" i="28" l="1"/>
  <c r="E24" i="27" s="1"/>
  <c r="E35" i="27"/>
  <c r="E27" i="27" l="1"/>
  <c r="D37" i="27" s="1"/>
  <c r="D40" i="27" s="1"/>
</calcChain>
</file>

<file path=xl/sharedStrings.xml><?xml version="1.0" encoding="utf-8"?>
<sst xmlns="http://schemas.openxmlformats.org/spreadsheetml/2006/main" count="95" uniqueCount="76">
  <si>
    <t>IVA:</t>
  </si>
  <si>
    <t>Recaudo Superintendencia:</t>
  </si>
  <si>
    <t>Fondo Notariado:</t>
  </si>
  <si>
    <t>Total Gastos Notariales:</t>
  </si>
  <si>
    <t xml:space="preserve">1 Simple de </t>
  </si>
  <si>
    <t>Hipoteca:</t>
  </si>
  <si>
    <t>Fotocopias</t>
  </si>
  <si>
    <t>Auténticaciones</t>
  </si>
  <si>
    <t>Afectación a Vivienda Familiar</t>
  </si>
  <si>
    <t>Poder copia sustitutiva</t>
  </si>
  <si>
    <t>Hipoteca</t>
  </si>
  <si>
    <t>Consulta Centrales de Riesgo</t>
  </si>
  <si>
    <t xml:space="preserve">Pago Anticipo administración proporcional </t>
  </si>
  <si>
    <t>3 Diligencias</t>
  </si>
  <si>
    <t>Patrimonio de familia por ley</t>
  </si>
  <si>
    <t>Protocolo-Hojas de la matriz</t>
  </si>
  <si>
    <t>Copia digital para gobernacion</t>
  </si>
  <si>
    <t>Compraventa</t>
  </si>
  <si>
    <t>Impuesto Predial proporcional</t>
  </si>
  <si>
    <t>:</t>
  </si>
  <si>
    <t>PROMOTORA SENDEROS DEL TINTAL S.A.S</t>
  </si>
  <si>
    <t>2 Copias de 62 hojas</t>
  </si>
  <si>
    <t>Tipo de liquidación</t>
  </si>
  <si>
    <t>Patrimonio de Familia</t>
  </si>
  <si>
    <t>SI</t>
  </si>
  <si>
    <t>Valor inmueble</t>
  </si>
  <si>
    <t>CPVM</t>
  </si>
  <si>
    <t>NO</t>
  </si>
  <si>
    <t>Valor hipoteca</t>
  </si>
  <si>
    <t>Impuesto de Beneficencia</t>
  </si>
  <si>
    <t>Condicion resolutoria CPVM</t>
  </si>
  <si>
    <t>Impuesto de Registro</t>
  </si>
  <si>
    <t>Gastos Notariales</t>
  </si>
  <si>
    <t>Total Gastos de Escrirura</t>
  </si>
  <si>
    <t>Otros pagos</t>
  </si>
  <si>
    <t>Cantidad</t>
  </si>
  <si>
    <t>Valor</t>
  </si>
  <si>
    <t>Certificados de libertad</t>
  </si>
  <si>
    <t>Total otros pagos</t>
  </si>
  <si>
    <t>Total a consignar</t>
  </si>
  <si>
    <t>Apartamento</t>
  </si>
  <si>
    <t>Torre</t>
  </si>
  <si>
    <t>Comprador (es)</t>
  </si>
  <si>
    <t>Afectación a vivienda Familiar</t>
  </si>
  <si>
    <t>Anticipo crédito</t>
  </si>
  <si>
    <t>Saldo a favor</t>
  </si>
  <si>
    <t>LIQUIDACIÓN ESTIMADA DE GASTOS FIRMA DE ESCRITURA</t>
  </si>
  <si>
    <t xml:space="preserve">Total </t>
  </si>
  <si>
    <t>Costos administrativos</t>
  </si>
  <si>
    <t>Venta</t>
  </si>
  <si>
    <t>Conservación y sistematización</t>
  </si>
  <si>
    <t>Registro hipoteca 70%</t>
  </si>
  <si>
    <t>Registro hipoteca 40%</t>
  </si>
  <si>
    <t>Registro hipoteca 10%</t>
  </si>
  <si>
    <t>&gt; A VIS</t>
  </si>
  <si>
    <t>VIS CON SUBSIDIO</t>
  </si>
  <si>
    <t>notaria:</t>
  </si>
  <si>
    <t>VIS - VIP</t>
  </si>
  <si>
    <t>VISTA 96</t>
  </si>
  <si>
    <t>Titular:  Inversiones Vista 96 S.A.S. NIT   900.985.658-7 cuenta de Ahorros 049280993  del Banco de Bogotá, es necesario que en el endoso (parte posterior) del cheque se escriban  los datos del titular del negocio, cédula y número telefónico de contacto, en caso de devolución.</t>
  </si>
  <si>
    <t>VISTA MAYOR</t>
  </si>
  <si>
    <t>RESERVA DEL LAGO</t>
  </si>
  <si>
    <t xml:space="preserve">VISSANI </t>
  </si>
  <si>
    <t>Titular:  Vista Construcciones S.A.S. NIT   901-040-044-3 cuenta de Ahorros 049270671 del Banco de Bogotá, es necesario que en el endoso (parte posterior) del cheque se escriban  los datos del titular del negocio, cédula y número telefónico de contacto, en caso de devolución.</t>
  </si>
  <si>
    <t>Titular:  Inversiones Reserva del Lago S.A.S. NIT   900.863.312-0 cuenta de Ahorros 049-XXXXXX  del Banco de Bogotá, es necesario que en el endoso (parte posterior) del cheque se escriban  los datos del titular del negocio, cédula y número telefónico de contacto, en caso de devolución.</t>
  </si>
  <si>
    <t>INVERSIONES PANORAMIA S.A.S</t>
  </si>
  <si>
    <t>INVERSIONES RESERVA DEL LAGO S.AS.</t>
  </si>
  <si>
    <t>VISTA CONSTRUCCIONES S.A.S.</t>
  </si>
  <si>
    <t>AMBITO URBANO S.A.S</t>
  </si>
  <si>
    <t>INVERSIONES VISTA 96 S.AS.</t>
  </si>
  <si>
    <t>N.A.</t>
  </si>
  <si>
    <t>Titular:  Inversiones Panoramia S.A.S. NIT   900.568.503-6 cuenta de Ahorros 049-290398  del Banco de Bogotá, es necesario que en el endoso (parte posterior) del cheque se escriban  los datos del titular del negocio, cédula y número telefónico de contacto, en caso de devolución.</t>
  </si>
  <si>
    <t>Crédito</t>
  </si>
  <si>
    <t>Contado</t>
  </si>
  <si>
    <t>&gt; VIS</t>
  </si>
  <si>
    <t>&gt; VIS 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</si>
</sst>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\ &quot;DM&quot;_-;\-* #,##0\ &quot;DM&quot;_-;_-* &quot;-&quot;\ &quot;DM&quot;_-;_-@_-"/>
    <numFmt numFmtId="165" formatCode="&quot;$&quot;\ #,##0"/>
    <numFmt numFmtId="166" formatCode="_-* ###,0&quot;.&quot;00\ [$€]_-;\-* ###,0&quot;.&quot;00\ [$€]_-;_-* &quot;-&quot;??\ [$€]_-;_-@_-"/>
    <numFmt numFmtId="167" formatCode="[$$-2C0A]\ #,##0"/>
  </numFmts>
  <fonts count="15" x14ac:knownFonts="1">
    <font>
      <sz val="10"/>
      <name val="Arial"/>
    </font>
    <font>
      <sz val="10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center" vertical="center"/>
    </xf>
    <xf numFmtId="166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1" fontId="6" fillId="0" borderId="0">
      <alignment horizontal="center" vertical="center"/>
    </xf>
    <xf numFmtId="0" fontId="5" fillId="0" borderId="0">
      <alignment horizontal="center" vertical="center"/>
    </xf>
    <xf numFmtId="0" fontId="7" fillId="0" borderId="0"/>
    <xf numFmtId="43" fontId="13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97">
    <xf numFmtId="0" fontId="0" fillId="0" borderId="0" xfId="0">
      <alignment horizontal="center" vertical="center"/>
    </xf>
    <xf numFmtId="0" fontId="0" fillId="0" borderId="0" xfId="0" applyBorder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right" vertical="center"/>
    </xf>
    <xf numFmtId="165" fontId="0" fillId="0" borderId="0" xfId="0" applyNumberForma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165" fontId="0" fillId="2" borderId="0" xfId="0" applyNumberFormat="1" applyFill="1" applyAlignment="1">
      <alignment horizontal="right" vertical="center"/>
    </xf>
    <xf numFmtId="165" fontId="0" fillId="2" borderId="1" xfId="0" applyNumberForma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8" fillId="0" borderId="0" xfId="0" applyFont="1" applyAlignment="1"/>
    <xf numFmtId="0" fontId="9" fillId="0" borderId="0" xfId="0" applyFont="1" applyAlignment="1"/>
    <xf numFmtId="164" fontId="9" fillId="0" borderId="0" xfId="4" applyFont="1"/>
    <xf numFmtId="164" fontId="9" fillId="0" borderId="0" xfId="4" applyFont="1" applyAlignment="1" applyProtection="1">
      <alignment horizontal="right"/>
      <protection locked="0"/>
    </xf>
    <xf numFmtId="0" fontId="8" fillId="0" borderId="0" xfId="0" applyFont="1" applyBorder="1" applyAlignment="1"/>
    <xf numFmtId="3" fontId="9" fillId="0" borderId="0" xfId="4" applyNumberFormat="1" applyFont="1" applyAlignment="1" applyProtection="1">
      <alignment horizontal="center"/>
      <protection hidden="1"/>
    </xf>
    <xf numFmtId="3" fontId="9" fillId="0" borderId="0" xfId="4" applyNumberFormat="1" applyFont="1" applyAlignment="1">
      <alignment horizontal="center"/>
    </xf>
    <xf numFmtId="3" fontId="8" fillId="0" borderId="0" xfId="4" applyNumberFormat="1" applyFont="1" applyBorder="1" applyProtection="1">
      <protection hidden="1"/>
    </xf>
    <xf numFmtId="3" fontId="0" fillId="0" borderId="0" xfId="0" applyNumberFormat="1">
      <alignment horizontal="center" vertical="center"/>
    </xf>
    <xf numFmtId="37" fontId="9" fillId="3" borderId="0" xfId="4" applyNumberFormat="1" applyFont="1" applyFill="1" applyProtection="1">
      <protection locked="0"/>
    </xf>
    <xf numFmtId="3" fontId="9" fillId="3" borderId="0" xfId="4" applyNumberFormat="1" applyFont="1" applyFill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3" fontId="0" fillId="0" borderId="0" xfId="4" applyNumberFormat="1" applyFont="1" applyAlignment="1">
      <alignment horizontal="center" vertical="center"/>
    </xf>
    <xf numFmtId="3" fontId="5" fillId="0" borderId="0" xfId="0" applyNumberFormat="1" applyFont="1">
      <alignment horizontal="center" vertical="center"/>
    </xf>
    <xf numFmtId="0" fontId="9" fillId="3" borderId="0" xfId="0" applyFont="1" applyFill="1" applyAlignment="1" applyProtection="1">
      <alignment horizontal="right"/>
      <protection locked="0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horizontal="center" vertical="center"/>
    </xf>
    <xf numFmtId="0" fontId="5" fillId="0" borderId="0" xfId="0" applyFont="1" applyAlignment="1">
      <alignment horizontal="left" vertical="center"/>
    </xf>
    <xf numFmtId="0" fontId="9" fillId="3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left" vertical="center"/>
    </xf>
    <xf numFmtId="3" fontId="1" fillId="0" borderId="0" xfId="0" applyNumberFormat="1" applyFont="1">
      <alignment horizontal="center" vertical="center"/>
    </xf>
    <xf numFmtId="0" fontId="9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3" fontId="8" fillId="0" borderId="4" xfId="4" applyNumberFormat="1" applyFont="1" applyBorder="1" applyAlignment="1" applyProtection="1">
      <alignment vertical="center"/>
      <protection hidden="1"/>
    </xf>
    <xf numFmtId="0" fontId="8" fillId="0" borderId="0" xfId="0" applyFont="1" applyBorder="1" applyAlignment="1">
      <alignment vertical="center"/>
    </xf>
    <xf numFmtId="3" fontId="8" fillId="0" borderId="0" xfId="4" applyNumberFormat="1" applyFont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0" fontId="8" fillId="0" borderId="0" xfId="0" applyFont="1" applyFill="1" applyBorder="1" applyAlignment="1">
      <alignment vertical="center"/>
    </xf>
    <xf numFmtId="3" fontId="8" fillId="0" borderId="0" xfId="4" applyNumberFormat="1" applyFont="1" applyAlignment="1" applyProtection="1">
      <alignment vertical="center"/>
      <protection hidden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3" fontId="9" fillId="0" borderId="0" xfId="4" applyNumberFormat="1" applyFont="1" applyAlignment="1">
      <alignment horizontal="right" vertical="center"/>
    </xf>
    <xf numFmtId="0" fontId="8" fillId="3" borderId="0" xfId="0" applyFont="1" applyFill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3" fontId="8" fillId="3" borderId="0" xfId="4" applyNumberFormat="1" applyFont="1" applyFill="1" applyAlignment="1" applyProtection="1">
      <alignment vertical="center"/>
      <protection locked="0"/>
    </xf>
    <xf numFmtId="3" fontId="10" fillId="0" borderId="0" xfId="4" applyNumberFormat="1" applyFont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left" vertical="center"/>
    </xf>
    <xf numFmtId="3" fontId="9" fillId="0" borderId="4" xfId="4" applyNumberFormat="1" applyFont="1" applyBorder="1" applyAlignment="1" applyProtection="1">
      <alignment vertical="center"/>
      <protection hidden="1"/>
    </xf>
    <xf numFmtId="3" fontId="9" fillId="0" borderId="4" xfId="4" applyNumberFormat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37" fontId="11" fillId="0" borderId="0" xfId="4" applyNumberFormat="1" applyFont="1" applyBorder="1" applyAlignment="1" applyProtection="1">
      <alignment horizontal="right" vertical="center"/>
      <protection hidden="1"/>
    </xf>
    <xf numFmtId="0" fontId="11" fillId="0" borderId="0" xfId="0" applyFont="1" applyBorder="1" applyAlignment="1"/>
    <xf numFmtId="0" fontId="1" fillId="0" borderId="0" xfId="0" applyFont="1">
      <alignment horizontal="center" vertical="center"/>
    </xf>
    <xf numFmtId="3" fontId="0" fillId="0" borderId="0" xfId="0" applyNumberFormat="1" applyAlignment="1">
      <alignment horizontal="right" vertical="center"/>
    </xf>
    <xf numFmtId="3" fontId="8" fillId="0" borderId="0" xfId="4" applyNumberFormat="1" applyFont="1" applyFill="1" applyAlignment="1" applyProtection="1">
      <alignment vertical="center"/>
      <protection hidden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2" borderId="0" xfId="0" applyFont="1" applyFill="1">
      <alignment horizontal="center" vertical="center"/>
    </xf>
    <xf numFmtId="0" fontId="1" fillId="0" borderId="0" xfId="0" applyFont="1" applyAlignment="1">
      <alignment horizontal="center" vertical="center"/>
    </xf>
    <xf numFmtId="43" fontId="1" fillId="0" borderId="0" xfId="8" applyFont="1" applyAlignment="1">
      <alignment horizontal="center" vertical="center"/>
    </xf>
    <xf numFmtId="167" fontId="2" fillId="0" borderId="0" xfId="0" applyNumberFormat="1" applyFont="1" applyAlignment="1">
      <alignment horizontal="right" vertical="center"/>
    </xf>
    <xf numFmtId="3" fontId="10" fillId="2" borderId="0" xfId="0" applyNumberFormat="1" applyFont="1" applyFill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0" borderId="3" xfId="0" applyFont="1" applyBorder="1" applyAlignment="1" applyProtection="1">
      <alignment vertical="center"/>
      <protection hidden="1"/>
    </xf>
    <xf numFmtId="0" fontId="8" fillId="0" borderId="0" xfId="0" applyFont="1" applyBorder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3" fontId="1" fillId="0" borderId="0" xfId="0" applyNumberFormat="1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3" fontId="4" fillId="0" borderId="0" xfId="0" applyNumberFormat="1" applyFont="1">
      <alignment horizontal="center" vertical="center"/>
    </xf>
    <xf numFmtId="3" fontId="0" fillId="0" borderId="0" xfId="0" applyNumberFormat="1" applyAlignment="1">
      <alignment horizontal="center" vertical="center"/>
    </xf>
    <xf numFmtId="37" fontId="9" fillId="0" borderId="0" xfId="4" applyNumberFormat="1" applyFont="1" applyFill="1" applyAlignment="1" applyProtection="1">
      <alignment horizontal="right"/>
      <protection hidden="1"/>
    </xf>
    <xf numFmtId="0" fontId="0" fillId="0" borderId="9" xfId="0" applyBorder="1" applyAlignment="1">
      <alignment vertical="center"/>
    </xf>
    <xf numFmtId="3" fontId="0" fillId="0" borderId="9" xfId="0" applyNumberFormat="1" applyBorder="1">
      <alignment horizontal="center" vertical="center"/>
    </xf>
    <xf numFmtId="0" fontId="1" fillId="2" borderId="9" xfId="0" applyFont="1" applyFill="1" applyBorder="1">
      <alignment horizontal="center" vertical="center"/>
    </xf>
    <xf numFmtId="3" fontId="1" fillId="2" borderId="9" xfId="0" applyNumberFormat="1" applyFont="1" applyFill="1" applyBorder="1">
      <alignment horizontal="center" vertical="center"/>
    </xf>
    <xf numFmtId="9" fontId="0" fillId="0" borderId="0" xfId="9" applyFont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4" fillId="3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>
      <alignment horizontal="center"/>
    </xf>
    <xf numFmtId="37" fontId="11" fillId="0" borderId="3" xfId="4" applyNumberFormat="1" applyFont="1" applyBorder="1" applyAlignment="1" applyProtection="1">
      <alignment horizontal="right" vertical="center"/>
      <protection hidden="1"/>
    </xf>
    <xf numFmtId="37" fontId="11" fillId="0" borderId="4" xfId="4" applyNumberFormat="1" applyFont="1" applyBorder="1" applyAlignment="1" applyProtection="1">
      <alignment horizontal="right" vertical="center"/>
      <protection hidden="1"/>
    </xf>
    <xf numFmtId="164" fontId="9" fillId="3" borderId="6" xfId="4" applyFont="1" applyFill="1" applyBorder="1" applyAlignment="1" applyProtection="1">
      <alignment horizontal="center" vertical="center"/>
      <protection locked="0"/>
    </xf>
    <xf numFmtId="164" fontId="9" fillId="3" borderId="5" xfId="4" applyFont="1" applyFill="1" applyBorder="1" applyAlignment="1" applyProtection="1">
      <alignment horizontal="center" vertical="center"/>
      <protection locked="0"/>
    </xf>
    <xf numFmtId="37" fontId="11" fillId="3" borderId="1" xfId="4" applyNumberFormat="1" applyFont="1" applyFill="1" applyBorder="1" applyAlignment="1" applyProtection="1">
      <alignment horizontal="right"/>
      <protection locked="0"/>
    </xf>
    <xf numFmtId="37" fontId="11" fillId="0" borderId="3" xfId="4" applyNumberFormat="1" applyFont="1" applyBorder="1" applyAlignment="1" applyProtection="1">
      <alignment horizontal="right"/>
      <protection hidden="1"/>
    </xf>
    <xf numFmtId="0" fontId="4" fillId="0" borderId="8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2" fillId="0" borderId="0" xfId="0" applyFont="1">
      <alignment horizontal="center" vertical="center"/>
    </xf>
  </cellXfs>
  <cellStyles count="10">
    <cellStyle name="Euro" xfId="1" xr:uid="{00000000-0005-0000-0000-000000000000}"/>
    <cellStyle name="Euro 2" xfId="2" xr:uid="{00000000-0005-0000-0000-000001000000}"/>
    <cellStyle name="Euro 3" xfId="3" xr:uid="{00000000-0005-0000-0000-000002000000}"/>
    <cellStyle name="Millares" xfId="8" builtinId="3"/>
    <cellStyle name="Moneda [0]" xfId="4" builtinId="7"/>
    <cellStyle name="Moneda 2" xfId="5" xr:uid="{00000000-0005-0000-0000-000005000000}"/>
    <cellStyle name="Normal" xfId="0" builtinId="0"/>
    <cellStyle name="Normal 2" xfId="6" xr:uid="{00000000-0005-0000-0000-000007000000}"/>
    <cellStyle name="Normal 3" xfId="7" xr:uid="{00000000-0005-0000-0000-000008000000}"/>
    <cellStyle name="Porcentaje" xfId="9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59"/>
  <sheetViews>
    <sheetView showGridLines="0" tabSelected="1" workbookViewId="0">
      <selection activeCell="E20" sqref="E20"/>
    </sheetView>
  </sheetViews>
  <sheetFormatPr baseColWidth="10" defaultRowHeight="12.75" x14ac:dyDescent="0.2"/>
  <cols>
    <col min="1" max="1" width="17.28515625" customWidth="1"/>
    <col min="2" max="2" width="30.7109375" customWidth="1"/>
    <col min="3" max="3" width="4.42578125" customWidth="1"/>
    <col min="4" max="4" width="26" customWidth="1"/>
    <col min="5" max="5" width="12.7109375" style="22" bestFit="1" customWidth="1"/>
    <col min="10" max="10" width="13.85546875" bestFit="1" customWidth="1"/>
  </cols>
  <sheetData>
    <row r="1" spans="1:13" x14ac:dyDescent="0.2">
      <c r="A1" s="83" t="str">
        <f>IF(A2=Hoja3!A33,Hoja3!F33,IF(A2=Hoja3!A34,Hoja3!F34,IF(A2=Hoja3!A35,Hoja3!F35,IF(A2=Hoja3!A36,Hoja3!F36))))</f>
        <v>INVERSIONES PANORAMIA S.A.S</v>
      </c>
      <c r="B1" s="83"/>
      <c r="C1" s="83"/>
      <c r="D1" s="83"/>
      <c r="E1" s="83"/>
      <c r="G1" s="56"/>
      <c r="H1" s="56"/>
      <c r="I1" s="56"/>
      <c r="J1" s="56"/>
      <c r="K1" s="56"/>
    </row>
    <row r="2" spans="1:13" x14ac:dyDescent="0.2">
      <c r="A2" s="84" t="s">
        <v>62</v>
      </c>
      <c r="B2" s="84"/>
      <c r="C2" s="84"/>
      <c r="D2" s="84"/>
      <c r="E2" s="84"/>
      <c r="G2" s="61"/>
      <c r="H2" s="61"/>
      <c r="I2" s="61"/>
      <c r="J2" s="61"/>
      <c r="K2" s="61"/>
    </row>
    <row r="3" spans="1:13" x14ac:dyDescent="0.2">
      <c r="A3" s="2"/>
      <c r="G3" s="61"/>
      <c r="H3" s="61"/>
      <c r="I3" s="61"/>
      <c r="J3" s="61"/>
      <c r="K3" s="61"/>
    </row>
    <row r="4" spans="1:13" x14ac:dyDescent="0.2">
      <c r="A4" s="10" t="s">
        <v>22</v>
      </c>
      <c r="B4" s="24" t="s">
        <v>75</v>
      </c>
      <c r="C4" s="11"/>
      <c r="D4" s="10" t="s">
        <v>23</v>
      </c>
      <c r="E4" s="15" t="s">
        <v>70</v>
      </c>
      <c r="G4" s="61"/>
      <c r="H4" s="61"/>
      <c r="I4" s="61"/>
      <c r="J4" s="61"/>
      <c r="K4" s="61"/>
      <c r="L4" s="61"/>
    </row>
    <row r="5" spans="1:13" x14ac:dyDescent="0.2">
      <c r="A5" s="10" t="s">
        <v>25</v>
      </c>
      <c r="B5" s="19">
        <v>600000000</v>
      </c>
      <c r="C5" s="12"/>
      <c r="D5" s="10" t="s">
        <v>26</v>
      </c>
      <c r="E5" s="20" t="s">
        <v>27</v>
      </c>
      <c r="G5" s="61"/>
      <c r="H5" s="61"/>
      <c r="I5" s="61"/>
      <c r="J5" s="61"/>
      <c r="K5" s="61"/>
      <c r="L5" s="61"/>
      <c r="M5" s="56"/>
    </row>
    <row r="6" spans="1:13" x14ac:dyDescent="0.2">
      <c r="A6" s="10" t="s">
        <v>28</v>
      </c>
      <c r="B6" s="19">
        <v>420000000</v>
      </c>
      <c r="C6" s="12"/>
      <c r="D6" s="10" t="s">
        <v>8</v>
      </c>
      <c r="E6" s="20" t="s">
        <v>27</v>
      </c>
      <c r="G6" s="61"/>
      <c r="H6" s="61"/>
      <c r="I6" s="61"/>
      <c r="J6" s="65">
        <v>142644594</v>
      </c>
      <c r="K6" s="61">
        <v>6.6800000000000002E-3</v>
      </c>
      <c r="L6" s="61"/>
      <c r="M6" s="56"/>
    </row>
    <row r="7" spans="1:13" x14ac:dyDescent="0.2">
      <c r="A7" s="10"/>
      <c r="B7" s="75" t="str">
        <f>IF(B6=0,"Contado","Crédito")</f>
        <v>Crédito</v>
      </c>
      <c r="C7" s="12"/>
      <c r="D7" s="10"/>
      <c r="E7" s="20"/>
      <c r="G7" s="61"/>
      <c r="H7" s="61"/>
      <c r="I7" s="61"/>
      <c r="J7" s="65"/>
      <c r="K7" s="61"/>
      <c r="L7" s="61"/>
      <c r="M7" s="56"/>
    </row>
    <row r="8" spans="1:13" x14ac:dyDescent="0.2">
      <c r="A8" s="10"/>
      <c r="B8" s="13"/>
      <c r="C8" s="12"/>
      <c r="D8" s="10"/>
      <c r="E8" s="16"/>
      <c r="G8" s="61"/>
      <c r="H8" s="61"/>
      <c r="I8" s="65">
        <v>142644595</v>
      </c>
      <c r="J8" s="65">
        <v>247250604</v>
      </c>
      <c r="K8" s="61">
        <v>8.2900000000000005E-3</v>
      </c>
      <c r="L8" s="61"/>
      <c r="M8" s="56"/>
    </row>
    <row r="9" spans="1:13" ht="19.5" customHeight="1" x14ac:dyDescent="0.2">
      <c r="A9" s="10" t="s">
        <v>42</v>
      </c>
      <c r="B9" s="89"/>
      <c r="C9" s="89"/>
      <c r="D9" s="21" t="s">
        <v>40</v>
      </c>
      <c r="E9" s="28"/>
      <c r="G9" s="61"/>
      <c r="H9" s="61"/>
      <c r="I9" s="65">
        <v>247250605</v>
      </c>
      <c r="J9" s="65">
        <v>366121415</v>
      </c>
      <c r="K9" s="61">
        <v>9.2300000000000004E-3</v>
      </c>
      <c r="L9" s="61"/>
      <c r="M9" s="56"/>
    </row>
    <row r="10" spans="1:13" ht="18.75" customHeight="1" x14ac:dyDescent="0.2">
      <c r="A10" s="10"/>
      <c r="B10" s="90"/>
      <c r="C10" s="90"/>
      <c r="D10" s="21" t="s">
        <v>41</v>
      </c>
      <c r="E10" s="29"/>
      <c r="G10" s="61"/>
      <c r="H10" s="61"/>
      <c r="I10" s="65">
        <v>366121416</v>
      </c>
      <c r="J10" s="65"/>
      <c r="K10" s="61">
        <v>9.7599999999999996E-3</v>
      </c>
      <c r="L10" s="61"/>
      <c r="M10" s="56"/>
    </row>
    <row r="11" spans="1:13" ht="21.75" customHeight="1" x14ac:dyDescent="0.2">
      <c r="A11" s="86" t="s">
        <v>46</v>
      </c>
      <c r="B11" s="86"/>
      <c r="C11" s="86"/>
      <c r="D11" s="86"/>
      <c r="E11" s="86"/>
      <c r="G11" s="61"/>
      <c r="H11" s="61"/>
      <c r="I11" s="61"/>
      <c r="J11" s="61"/>
      <c r="K11" s="61"/>
      <c r="L11" s="61"/>
      <c r="M11" s="56"/>
    </row>
    <row r="12" spans="1:13" ht="6" customHeight="1" thickBot="1" x14ac:dyDescent="0.25">
      <c r="A12" s="86"/>
      <c r="B12" s="86"/>
      <c r="C12" s="86"/>
      <c r="D12" s="86"/>
      <c r="E12" s="86"/>
      <c r="G12" s="61"/>
      <c r="H12" s="61"/>
      <c r="I12" s="61"/>
      <c r="J12" s="61"/>
      <c r="K12" s="61"/>
      <c r="L12" s="56"/>
      <c r="M12" s="56"/>
    </row>
    <row r="13" spans="1:13" s="3" customFormat="1" ht="14.25" customHeight="1" thickBot="1" x14ac:dyDescent="0.25">
      <c r="A13" s="32" t="s">
        <v>29</v>
      </c>
      <c r="B13" s="33"/>
      <c r="C13" s="33"/>
      <c r="D13" s="67"/>
      <c r="E13" s="51">
        <f>SUM(E14:E17)</f>
        <v>6022800</v>
      </c>
      <c r="G13" s="66"/>
      <c r="H13" s="66"/>
      <c r="I13" s="66"/>
      <c r="J13" s="66"/>
      <c r="K13" s="66"/>
      <c r="L13" s="62"/>
      <c r="M13" s="62"/>
    </row>
    <row r="14" spans="1:13" s="3" customFormat="1" ht="18" customHeight="1" x14ac:dyDescent="0.2">
      <c r="A14" s="35" t="s">
        <v>17</v>
      </c>
      <c r="B14" s="35"/>
      <c r="C14" s="35"/>
      <c r="D14" s="68"/>
      <c r="E14" s="36">
        <f>MROUND((B5*1%),100)</f>
        <v>6000000</v>
      </c>
      <c r="I14" s="62"/>
      <c r="J14" s="62"/>
      <c r="K14" s="62"/>
      <c r="L14" s="62"/>
      <c r="M14" s="62"/>
    </row>
    <row r="15" spans="1:13" s="3" customFormat="1" ht="18" customHeight="1" x14ac:dyDescent="0.2">
      <c r="A15" s="35" t="s">
        <v>48</v>
      </c>
      <c r="B15" s="35"/>
      <c r="C15" s="35"/>
      <c r="D15" s="68"/>
      <c r="E15" s="36">
        <v>22800</v>
      </c>
      <c r="I15" s="62"/>
      <c r="J15" s="62"/>
      <c r="K15" s="62"/>
      <c r="L15" s="62"/>
      <c r="M15" s="62"/>
    </row>
    <row r="16" spans="1:13" s="3" customFormat="1" ht="18" customHeight="1" x14ac:dyDescent="0.2">
      <c r="A16" s="35" t="s">
        <v>30</v>
      </c>
      <c r="B16" s="35"/>
      <c r="C16" s="35"/>
      <c r="D16" s="68"/>
      <c r="E16" s="36">
        <f>IF(E5=Hoja3!A42,Hoja3!B42,0)</f>
        <v>0</v>
      </c>
      <c r="I16" s="62"/>
      <c r="J16" s="63"/>
      <c r="K16" s="62"/>
      <c r="L16" s="62"/>
      <c r="M16" s="62"/>
    </row>
    <row r="17" spans="1:7" s="3" customFormat="1" ht="18" customHeight="1" thickBot="1" x14ac:dyDescent="0.25">
      <c r="A17" s="37" t="s">
        <v>43</v>
      </c>
      <c r="B17" s="37"/>
      <c r="C17" s="37"/>
      <c r="D17" s="69"/>
      <c r="E17" s="36">
        <f>IF(E6=Hoja3!A42,Hoja3!B42,0)</f>
        <v>0</v>
      </c>
    </row>
    <row r="18" spans="1:7" s="3" customFormat="1" ht="15.75" customHeight="1" thickBot="1" x14ac:dyDescent="0.25">
      <c r="A18" s="32" t="s">
        <v>31</v>
      </c>
      <c r="B18" s="33"/>
      <c r="C18" s="33"/>
      <c r="D18" s="67"/>
      <c r="E18" s="51">
        <f>MROUND((SUM(E19:E23)),100)</f>
        <v>10072300</v>
      </c>
      <c r="G18" s="74"/>
    </row>
    <row r="19" spans="1:7" s="3" customFormat="1" ht="18" customHeight="1" x14ac:dyDescent="0.2">
      <c r="A19" s="35" t="s">
        <v>10</v>
      </c>
      <c r="B19" s="35"/>
      <c r="C19" s="35"/>
      <c r="D19" s="68"/>
      <c r="E19" s="36">
        <f>IF(B4=Hoja3!C57,Hoja3!A57,IF(B4=Hoja3!C58,Hoja3!A58))</f>
        <v>4099200</v>
      </c>
    </row>
    <row r="20" spans="1:7" s="3" customFormat="1" ht="18" customHeight="1" x14ac:dyDescent="0.2">
      <c r="A20" s="35" t="s">
        <v>17</v>
      </c>
      <c r="B20" s="35"/>
      <c r="C20" s="35"/>
      <c r="D20" s="68"/>
      <c r="E20" s="36">
        <f>IF(B5&gt;I10,B5*K10,IF(B5&gt;I9,B5*K9,IF(B5&gt;I8,B5*K8,IF(B5&lt;=J6,B5*K6))))</f>
        <v>5856000</v>
      </c>
    </row>
    <row r="21" spans="1:7" s="3" customFormat="1" ht="18" customHeight="1" x14ac:dyDescent="0.2">
      <c r="A21" s="35" t="s">
        <v>50</v>
      </c>
      <c r="B21" s="35"/>
      <c r="C21" s="35"/>
      <c r="D21" s="68"/>
      <c r="E21" s="36">
        <f>MROUND((E20*2%),100)</f>
        <v>117100</v>
      </c>
    </row>
    <row r="22" spans="1:7" s="3" customFormat="1" ht="18" customHeight="1" x14ac:dyDescent="0.2">
      <c r="A22" s="35" t="s">
        <v>30</v>
      </c>
      <c r="B22" s="35"/>
      <c r="C22" s="35"/>
      <c r="D22" s="68"/>
      <c r="E22" s="36">
        <f>IF(E5="SI",Hoja3!C42,0)</f>
        <v>0</v>
      </c>
    </row>
    <row r="23" spans="1:7" s="3" customFormat="1" ht="18" customHeight="1" thickBot="1" x14ac:dyDescent="0.25">
      <c r="A23" s="38" t="s">
        <v>43</v>
      </c>
      <c r="B23" s="37"/>
      <c r="C23" s="37"/>
      <c r="D23" s="69"/>
      <c r="E23" s="39">
        <f>IF(E6=Hoja3!A42,Hoja3!C42,0)</f>
        <v>0</v>
      </c>
    </row>
    <row r="24" spans="1:7" s="3" customFormat="1" ht="12" customHeight="1" thickBot="1" x14ac:dyDescent="0.25">
      <c r="A24" s="32" t="s">
        <v>32</v>
      </c>
      <c r="B24" s="33"/>
      <c r="C24" s="33"/>
      <c r="D24" s="67"/>
      <c r="E24" s="34">
        <f>MROUND(IF(B7=Hoja3!A28,Hoja3!C28,IF(B7=Hoja3!A29,Hoja3!C29)),100)</f>
        <v>2344700</v>
      </c>
    </row>
    <row r="25" spans="1:7" s="3" customFormat="1" ht="12" customHeight="1" thickBot="1" x14ac:dyDescent="0.25">
      <c r="A25" s="32"/>
      <c r="B25" s="33"/>
      <c r="C25" s="33"/>
      <c r="D25" s="67"/>
      <c r="E25" s="34"/>
    </row>
    <row r="26" spans="1:7" s="3" customFormat="1" ht="12" customHeight="1" thickBot="1" x14ac:dyDescent="0.25">
      <c r="A26" s="32"/>
      <c r="B26" s="33"/>
      <c r="C26" s="33"/>
      <c r="D26" s="67"/>
      <c r="E26" s="34"/>
    </row>
    <row r="27" spans="1:7" s="3" customFormat="1" ht="14.25" customHeight="1" thickBot="1" x14ac:dyDescent="0.25">
      <c r="A27" s="32" t="s">
        <v>33</v>
      </c>
      <c r="B27" s="33"/>
      <c r="C27" s="33"/>
      <c r="D27" s="67"/>
      <c r="E27" s="51">
        <f>E13+E18+E24</f>
        <v>18439800</v>
      </c>
    </row>
    <row r="28" spans="1:7" ht="7.5" customHeight="1" x14ac:dyDescent="0.2">
      <c r="A28" s="14"/>
      <c r="B28" s="14"/>
      <c r="C28" s="14"/>
      <c r="D28" s="14"/>
      <c r="E28" s="17"/>
    </row>
    <row r="29" spans="1:7" s="3" customFormat="1" ht="12.75" customHeight="1" x14ac:dyDescent="0.2">
      <c r="A29" s="40" t="s">
        <v>34</v>
      </c>
      <c r="B29" s="40"/>
      <c r="C29" s="40"/>
      <c r="D29" s="41" t="s">
        <v>35</v>
      </c>
      <c r="E29" s="42" t="s">
        <v>36</v>
      </c>
    </row>
    <row r="30" spans="1:7" s="3" customFormat="1" ht="18" customHeight="1" x14ac:dyDescent="0.2">
      <c r="A30" s="37" t="s">
        <v>37</v>
      </c>
      <c r="B30" s="37"/>
      <c r="C30" s="37"/>
      <c r="D30" s="43">
        <v>2</v>
      </c>
      <c r="E30" s="39">
        <f>D30*18000</f>
        <v>36000</v>
      </c>
    </row>
    <row r="31" spans="1:7" s="3" customFormat="1" ht="18" customHeight="1" x14ac:dyDescent="0.2">
      <c r="A31" s="27" t="s">
        <v>11</v>
      </c>
      <c r="B31" s="37"/>
      <c r="C31" s="37"/>
      <c r="D31" s="43">
        <v>2</v>
      </c>
      <c r="E31" s="58">
        <f>D31*20000</f>
        <v>40000</v>
      </c>
    </row>
    <row r="32" spans="1:7" s="3" customFormat="1" ht="18" customHeight="1" x14ac:dyDescent="0.2">
      <c r="A32" s="30" t="s">
        <v>44</v>
      </c>
      <c r="B32" s="37"/>
      <c r="C32" s="37"/>
      <c r="D32" s="44"/>
      <c r="E32" s="58">
        <f>(B6*4)/1000</f>
        <v>1680000</v>
      </c>
    </row>
    <row r="33" spans="1:5" s="3" customFormat="1" ht="18" customHeight="1" x14ac:dyDescent="0.2">
      <c r="A33" s="27" t="s">
        <v>18</v>
      </c>
      <c r="B33" s="37"/>
      <c r="C33" s="37"/>
      <c r="D33" s="44"/>
      <c r="E33" s="45">
        <v>0</v>
      </c>
    </row>
    <row r="34" spans="1:5" s="3" customFormat="1" ht="18" customHeight="1" thickBot="1" x14ac:dyDescent="0.25">
      <c r="A34" s="27" t="s">
        <v>12</v>
      </c>
      <c r="B34" s="37"/>
      <c r="C34" s="37"/>
      <c r="D34" s="44"/>
      <c r="E34" s="45">
        <v>350000</v>
      </c>
    </row>
    <row r="35" spans="1:5" s="3" customFormat="1" ht="18" customHeight="1" thickBot="1" x14ac:dyDescent="0.25">
      <c r="A35" s="32" t="s">
        <v>38</v>
      </c>
      <c r="B35" s="33"/>
      <c r="C35" s="33"/>
      <c r="D35" s="33"/>
      <c r="E35" s="52">
        <f>SUM(E30:E34)</f>
        <v>2106000</v>
      </c>
    </row>
    <row r="36" spans="1:5" s="3" customFormat="1" ht="13.5" thickBot="1" x14ac:dyDescent="0.25">
      <c r="A36" s="37"/>
      <c r="B36" s="37"/>
      <c r="C36" s="37"/>
      <c r="D36" s="37"/>
      <c r="E36" s="46"/>
    </row>
    <row r="37" spans="1:5" s="49" customFormat="1" ht="18.75" thickBot="1" x14ac:dyDescent="0.25">
      <c r="A37" s="47" t="s">
        <v>47</v>
      </c>
      <c r="B37" s="48"/>
      <c r="C37" s="48"/>
      <c r="D37" s="87">
        <f>E27+E35</f>
        <v>20545800</v>
      </c>
      <c r="E37" s="88"/>
    </row>
    <row r="38" spans="1:5" s="49" customFormat="1" ht="18" x14ac:dyDescent="0.2">
      <c r="A38" s="53"/>
      <c r="B38" s="53"/>
      <c r="C38" s="53"/>
      <c r="D38" s="54"/>
      <c r="E38" s="54"/>
    </row>
    <row r="39" spans="1:5" s="49" customFormat="1" ht="24" customHeight="1" thickBot="1" x14ac:dyDescent="0.3">
      <c r="A39" s="55" t="s">
        <v>45</v>
      </c>
      <c r="B39" s="55"/>
      <c r="C39" s="55"/>
      <c r="D39" s="91"/>
      <c r="E39" s="91"/>
    </row>
    <row r="40" spans="1:5" s="49" customFormat="1" ht="26.25" customHeight="1" thickBot="1" x14ac:dyDescent="0.3">
      <c r="A40" s="55" t="s">
        <v>39</v>
      </c>
      <c r="B40" s="55"/>
      <c r="C40" s="55"/>
      <c r="D40" s="92">
        <f>D37-D39</f>
        <v>20545800</v>
      </c>
      <c r="E40" s="92"/>
    </row>
    <row r="41" spans="1:5" s="49" customFormat="1" ht="18" x14ac:dyDescent="0.2">
      <c r="A41" s="53"/>
      <c r="B41" s="53"/>
      <c r="C41" s="53"/>
      <c r="D41" s="54"/>
      <c r="E41" s="54"/>
    </row>
    <row r="42" spans="1:5" s="3" customFormat="1" ht="49.5" customHeight="1" x14ac:dyDescent="0.2">
      <c r="A42" s="81" t="str">
        <f>IF(A2=Hoja3!A33,Hoja3!B33,IF(A2=Hoja3!A34,Hoja3!B34,IF(A2=Hoja3!A35,Hoja3!B35,IF(A2=Hoja3!A36,Hoja3!B36))))</f>
        <v>Titular:  Inversiones Panoramia S.A.S. NIT   900.568.503-6 cuenta de Ahorros 049-290398  del Banco de Bogotá, es necesario que en el endoso (parte posterior) del cheque se escriban  los datos del titular del negocio, cédula y número telefónico de contacto, en caso de devolución.</v>
      </c>
      <c r="B42" s="82"/>
      <c r="C42" s="82"/>
      <c r="D42" s="82"/>
      <c r="E42" s="82"/>
    </row>
    <row r="43" spans="1:5" s="3" customFormat="1" ht="20.25" customHeight="1" x14ac:dyDescent="0.2">
      <c r="A43" s="27"/>
      <c r="E43" s="22"/>
    </row>
    <row r="44" spans="1:5" s="3" customFormat="1" ht="12.75" customHeight="1" x14ac:dyDescent="0.2">
      <c r="A44" s="85"/>
      <c r="B44" s="85"/>
      <c r="C44" s="85"/>
      <c r="D44" s="85"/>
      <c r="E44" s="85"/>
    </row>
    <row r="45" spans="1:5" s="3" customFormat="1" x14ac:dyDescent="0.2">
      <c r="A45" s="85"/>
      <c r="B45" s="85"/>
      <c r="C45" s="85"/>
      <c r="D45" s="85"/>
      <c r="E45" s="85"/>
    </row>
    <row r="46" spans="1:5" s="3" customFormat="1" x14ac:dyDescent="0.2">
      <c r="A46" s="85"/>
      <c r="B46" s="85"/>
      <c r="C46" s="85"/>
      <c r="D46" s="85"/>
      <c r="E46" s="85"/>
    </row>
    <row r="47" spans="1:5" s="3" customFormat="1" x14ac:dyDescent="0.2">
      <c r="A47" s="85"/>
      <c r="B47" s="85"/>
      <c r="C47" s="85"/>
      <c r="D47" s="85"/>
      <c r="E47" s="85"/>
    </row>
    <row r="49" spans="1:4" x14ac:dyDescent="0.2">
      <c r="A49" s="1"/>
      <c r="B49" s="1"/>
      <c r="C49" s="1"/>
      <c r="D49" s="1"/>
    </row>
    <row r="50" spans="1:4" x14ac:dyDescent="0.2">
      <c r="A50" s="25"/>
      <c r="B50" s="1"/>
      <c r="C50" s="1"/>
      <c r="D50" s="1"/>
    </row>
    <row r="51" spans="1:4" x14ac:dyDescent="0.2">
      <c r="A51" s="26"/>
      <c r="B51" s="1"/>
      <c r="C51" s="1"/>
      <c r="D51" s="1"/>
    </row>
    <row r="52" spans="1:4" x14ac:dyDescent="0.2">
      <c r="A52" s="1"/>
      <c r="B52" s="1"/>
      <c r="C52" s="1"/>
      <c r="D52" s="1"/>
    </row>
    <row r="53" spans="1:4" x14ac:dyDescent="0.2">
      <c r="A53" s="1"/>
      <c r="B53" s="1"/>
      <c r="C53" s="1"/>
      <c r="D53" s="1"/>
    </row>
    <row r="54" spans="1:4" x14ac:dyDescent="0.2">
      <c r="A54" s="1"/>
      <c r="B54" s="1"/>
      <c r="C54" s="1"/>
      <c r="D54" s="1"/>
    </row>
    <row r="55" spans="1:4" x14ac:dyDescent="0.2">
      <c r="A55" s="1"/>
      <c r="B55" s="1"/>
      <c r="C55" s="1"/>
      <c r="D55" s="1"/>
    </row>
    <row r="56" spans="1:4" x14ac:dyDescent="0.2">
      <c r="A56" s="1"/>
      <c r="B56" s="1"/>
      <c r="C56" s="1"/>
      <c r="D56" s="1"/>
    </row>
    <row r="57" spans="1:4" x14ac:dyDescent="0.2">
      <c r="A57" s="25"/>
      <c r="B57" s="1"/>
      <c r="C57" s="1"/>
      <c r="D57" s="1"/>
    </row>
    <row r="58" spans="1:4" x14ac:dyDescent="0.2">
      <c r="A58" s="1"/>
      <c r="B58" s="1"/>
      <c r="C58" s="1"/>
      <c r="D58" s="1"/>
    </row>
    <row r="59" spans="1:4" x14ac:dyDescent="0.2">
      <c r="A59" s="26"/>
      <c r="B59" s="1"/>
      <c r="C59" s="1"/>
      <c r="D59" s="1"/>
    </row>
  </sheetData>
  <sheetProtection algorithmName="SHA-512" hashValue="9ud8BVyuw2f25VJl9TvyoRLm8jpFB0axhVOuON3HJ6RoIluyI1WvfRSFTj3Cp2hHBHZIJ3PslJt4o1nmvWQznQ==" saltValue="SsEQxfB+gP5SBUqfYbrjzA==" spinCount="100000" sheet="1" objects="1" scenarios="1"/>
  <mergeCells count="11">
    <mergeCell ref="A42:E42"/>
    <mergeCell ref="A1:E1"/>
    <mergeCell ref="A2:E2"/>
    <mergeCell ref="A44:E47"/>
    <mergeCell ref="A12:E12"/>
    <mergeCell ref="D37:E37"/>
    <mergeCell ref="A11:E11"/>
    <mergeCell ref="B9:C9"/>
    <mergeCell ref="B10:C10"/>
    <mergeCell ref="D39:E39"/>
    <mergeCell ref="D40:E40"/>
  </mergeCells>
  <dataValidations count="1">
    <dataValidation type="list" allowBlank="1" showInputMessage="1" showErrorMessage="1" sqref="C4" xr:uid="{00000000-0002-0000-0500-000000000000}">
      <formula1>#REF!</formula1>
    </dataValidation>
  </dataValidations>
  <pageMargins left="1.1023622047244095" right="0.51181102362204722" top="0.74803149606299213" bottom="0.74803149606299213" header="0.31496062992125984" footer="0.31496062992125984"/>
  <pageSetup scale="90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500-000002000000}">
          <x14:formula1>
            <xm:f>Hoja3!#REF!</xm:f>
          </x14:formula1>
          <xm:sqref>B8</xm:sqref>
        </x14:dataValidation>
        <x14:dataValidation type="list" allowBlank="1" showInputMessage="1" showErrorMessage="1" xr:uid="{4DBCEEE1-815F-451B-A597-1DBD2C9A1DA8}">
          <x14:formula1>
            <xm:f>Hoja3!$A$33:$A$37</xm:f>
          </x14:formula1>
          <xm:sqref>A2:E2</xm:sqref>
        </x14:dataValidation>
        <x14:dataValidation type="list" allowBlank="1" showInputMessage="1" showErrorMessage="1" xr:uid="{581CE519-325A-4FDC-91DA-9C91721F2BD8}">
          <x14:formula1>
            <xm:f>Hoja3!$A$41:$A$42</xm:f>
          </x14:formula1>
          <xm:sqref>E5:E7</xm:sqref>
        </x14:dataValidation>
        <x14:dataValidation type="list" allowBlank="1" showInputMessage="1" showErrorMessage="1" xr:uid="{36FC3C59-D795-4A52-B6E8-CF36A33F5E15}">
          <x14:formula1>
            <xm:f>Hoja3!$A$44:$A$48</xm:f>
          </x14:formula1>
          <xm:sqref>D30:D31</xm:sqref>
        </x14:dataValidation>
        <x14:dataValidation type="list" allowBlank="1" showInputMessage="1" showErrorMessage="1" xr:uid="{59EB1461-6C58-4697-AAC9-A6241B3EBF4F}">
          <x14:formula1>
            <xm:f>Hoja3!$C$57:$C$58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9"/>
  <sheetViews>
    <sheetView workbookViewId="0">
      <selection activeCell="C30" sqref="C30"/>
    </sheetView>
  </sheetViews>
  <sheetFormatPr baseColWidth="10" defaultRowHeight="12.75" x14ac:dyDescent="0.2"/>
  <cols>
    <col min="1" max="1" width="29.140625" style="60" bestFit="1" customWidth="1"/>
    <col min="2" max="2" width="11.140625" style="18" bestFit="1" customWidth="1"/>
    <col min="3" max="3" width="18" style="18" bestFit="1" customWidth="1"/>
    <col min="4" max="4" width="17.140625" style="18" bestFit="1" customWidth="1"/>
    <col min="5" max="5" width="24.7109375" customWidth="1"/>
  </cols>
  <sheetData>
    <row r="1" spans="1:4" x14ac:dyDescent="0.2">
      <c r="C1" s="31"/>
      <c r="D1" s="31"/>
    </row>
    <row r="2" spans="1:4" x14ac:dyDescent="0.2">
      <c r="A2" s="59" t="s">
        <v>49</v>
      </c>
      <c r="B2" s="23">
        <f>'Gastos '!B5</f>
        <v>600000000</v>
      </c>
    </row>
    <row r="3" spans="1:4" x14ac:dyDescent="0.2">
      <c r="A3" s="59" t="s">
        <v>10</v>
      </c>
      <c r="B3" s="31">
        <f>'Gastos '!B6</f>
        <v>420000000</v>
      </c>
    </row>
    <row r="4" spans="1:4" x14ac:dyDescent="0.2">
      <c r="A4" s="59"/>
      <c r="B4" s="23"/>
    </row>
    <row r="5" spans="1:4" x14ac:dyDescent="0.2">
      <c r="A5" s="59" t="s">
        <v>51</v>
      </c>
      <c r="B5" s="31">
        <f>B3</f>
        <v>420000000</v>
      </c>
      <c r="C5" s="31" t="s">
        <v>54</v>
      </c>
      <c r="D5" s="36"/>
    </row>
    <row r="6" spans="1:4" x14ac:dyDescent="0.2">
      <c r="A6" s="59" t="s">
        <v>52</v>
      </c>
      <c r="B6" s="18">
        <f>'Gastos '!E20*40%</f>
        <v>2342400</v>
      </c>
      <c r="C6" s="31" t="s">
        <v>57</v>
      </c>
    </row>
    <row r="7" spans="1:4" x14ac:dyDescent="0.2">
      <c r="A7" s="59" t="s">
        <v>53</v>
      </c>
      <c r="B7" s="18">
        <f>'Gastos '!E20*10%</f>
        <v>585600</v>
      </c>
      <c r="C7" s="31" t="s">
        <v>55</v>
      </c>
    </row>
    <row r="8" spans="1:4" x14ac:dyDescent="0.2">
      <c r="A8" s="59"/>
      <c r="C8" s="31"/>
    </row>
    <row r="9" spans="1:4" x14ac:dyDescent="0.2">
      <c r="A9" s="59"/>
      <c r="C9" s="31"/>
    </row>
    <row r="10" spans="1:4" x14ac:dyDescent="0.2">
      <c r="A10" s="59"/>
      <c r="C10" s="31"/>
    </row>
    <row r="12" spans="1:4" x14ac:dyDescent="0.2">
      <c r="A12" s="6" t="s">
        <v>56</v>
      </c>
      <c r="B12" s="4"/>
      <c r="C12" s="4"/>
    </row>
    <row r="13" spans="1:4" x14ac:dyDescent="0.2">
      <c r="A13" s="5"/>
      <c r="B13" s="4" t="s">
        <v>17</v>
      </c>
      <c r="C13" s="4">
        <f>(B2*2)/1000</f>
        <v>1200000</v>
      </c>
    </row>
    <row r="14" spans="1:4" x14ac:dyDescent="0.2">
      <c r="A14" s="5"/>
      <c r="B14" s="4" t="s">
        <v>5</v>
      </c>
      <c r="C14" s="4">
        <f>(B3*1.3)/1000</f>
        <v>546000</v>
      </c>
    </row>
    <row r="15" spans="1:4" x14ac:dyDescent="0.2">
      <c r="A15" s="5" t="s">
        <v>15</v>
      </c>
      <c r="B15" s="18">
        <v>35</v>
      </c>
      <c r="C15" s="4">
        <f>B15*2000</f>
        <v>70000</v>
      </c>
    </row>
    <row r="16" spans="1:4" x14ac:dyDescent="0.2">
      <c r="A16" s="50" t="s">
        <v>21</v>
      </c>
      <c r="B16" s="18">
        <v>92</v>
      </c>
      <c r="C16" s="4">
        <f>(B16*3000)</f>
        <v>276000</v>
      </c>
    </row>
    <row r="17" spans="1:6" x14ac:dyDescent="0.2">
      <c r="A17" s="50" t="s">
        <v>16</v>
      </c>
      <c r="C17" s="4">
        <v>6600</v>
      </c>
    </row>
    <row r="18" spans="1:6" x14ac:dyDescent="0.2">
      <c r="A18" s="5" t="s">
        <v>4</v>
      </c>
      <c r="B18" s="18">
        <v>35</v>
      </c>
      <c r="C18" s="4">
        <f>(B18*4000)*0.5</f>
        <v>70000</v>
      </c>
    </row>
    <row r="19" spans="1:6" x14ac:dyDescent="0.2">
      <c r="A19" s="5" t="s">
        <v>13</v>
      </c>
      <c r="B19" s="18">
        <v>4</v>
      </c>
      <c r="C19" s="4">
        <f>2300*B19</f>
        <v>9200</v>
      </c>
    </row>
    <row r="20" spans="1:6" x14ac:dyDescent="0.2">
      <c r="A20" s="5" t="s">
        <v>6</v>
      </c>
      <c r="B20" s="18">
        <v>65</v>
      </c>
      <c r="C20" s="4">
        <f>B20*400</f>
        <v>26000</v>
      </c>
      <c r="F20" s="70" t="s">
        <v>65</v>
      </c>
    </row>
    <row r="21" spans="1:6" x14ac:dyDescent="0.2">
      <c r="A21" s="5" t="s">
        <v>7</v>
      </c>
      <c r="B21" s="18">
        <v>65</v>
      </c>
      <c r="C21" s="4">
        <f>B21*1800</f>
        <v>117000</v>
      </c>
      <c r="F21" s="71" t="s">
        <v>66</v>
      </c>
    </row>
    <row r="22" spans="1:6" x14ac:dyDescent="0.2">
      <c r="A22" s="5" t="s">
        <v>14</v>
      </c>
      <c r="C22" s="4">
        <v>57600</v>
      </c>
      <c r="F22" s="72" t="s">
        <v>67</v>
      </c>
    </row>
    <row r="23" spans="1:6" x14ac:dyDescent="0.2">
      <c r="A23" s="5" t="s">
        <v>9</v>
      </c>
      <c r="B23" s="4"/>
      <c r="C23" s="4">
        <v>57600</v>
      </c>
      <c r="F23" s="72" t="s">
        <v>68</v>
      </c>
    </row>
    <row r="24" spans="1:6" x14ac:dyDescent="0.2">
      <c r="A24" s="5" t="s">
        <v>0</v>
      </c>
      <c r="B24" s="4"/>
      <c r="C24" s="4">
        <f>(SUM(C13:C23))*19/100</f>
        <v>462840</v>
      </c>
      <c r="F24" s="72" t="s">
        <v>69</v>
      </c>
    </row>
    <row r="25" spans="1:6" x14ac:dyDescent="0.2">
      <c r="A25" s="4" t="s">
        <v>1</v>
      </c>
      <c r="B25" s="4"/>
      <c r="C25" s="7">
        <v>16000</v>
      </c>
    </row>
    <row r="26" spans="1:6" ht="13.5" thickBot="1" x14ac:dyDescent="0.25">
      <c r="A26" s="4" t="s">
        <v>2</v>
      </c>
      <c r="B26" s="4"/>
      <c r="C26" s="8">
        <v>16000</v>
      </c>
    </row>
    <row r="27" spans="1:6" x14ac:dyDescent="0.2">
      <c r="A27" s="96" t="s">
        <v>3</v>
      </c>
      <c r="B27" s="96"/>
      <c r="C27" s="64">
        <f>SUM(C13:C26)</f>
        <v>2930840</v>
      </c>
    </row>
    <row r="28" spans="1:6" x14ac:dyDescent="0.2">
      <c r="A28" s="59" t="s">
        <v>72</v>
      </c>
      <c r="C28" s="57">
        <f>C27*80%</f>
        <v>2344672</v>
      </c>
    </row>
    <row r="29" spans="1:6" x14ac:dyDescent="0.2">
      <c r="A29" s="59" t="s">
        <v>73</v>
      </c>
      <c r="C29" s="57">
        <f>C27*60%</f>
        <v>1758504</v>
      </c>
    </row>
    <row r="33" spans="1:6" x14ac:dyDescent="0.2">
      <c r="A33" s="9" t="s">
        <v>60</v>
      </c>
      <c r="B33" s="93" t="s">
        <v>63</v>
      </c>
      <c r="C33" s="94" t="s">
        <v>19</v>
      </c>
      <c r="D33" s="94" t="s">
        <v>20</v>
      </c>
      <c r="E33" s="95"/>
      <c r="F33" s="72" t="s">
        <v>67</v>
      </c>
    </row>
    <row r="34" spans="1:6" x14ac:dyDescent="0.2">
      <c r="A34" s="9" t="s">
        <v>58</v>
      </c>
      <c r="B34" s="93" t="s">
        <v>59</v>
      </c>
      <c r="C34" s="94" t="s">
        <v>19</v>
      </c>
      <c r="D34" s="94" t="s">
        <v>20</v>
      </c>
      <c r="E34" s="95"/>
      <c r="F34" s="72" t="s">
        <v>69</v>
      </c>
    </row>
    <row r="35" spans="1:6" x14ac:dyDescent="0.2">
      <c r="A35" s="9" t="s">
        <v>62</v>
      </c>
      <c r="B35" s="93" t="s">
        <v>71</v>
      </c>
      <c r="C35" s="94" t="s">
        <v>19</v>
      </c>
      <c r="D35" s="94" t="s">
        <v>20</v>
      </c>
      <c r="E35" s="95"/>
      <c r="F35" s="70" t="s">
        <v>65</v>
      </c>
    </row>
    <row r="36" spans="1:6" x14ac:dyDescent="0.2">
      <c r="A36" s="9" t="s">
        <v>61</v>
      </c>
      <c r="B36" s="93" t="s">
        <v>64</v>
      </c>
      <c r="C36" s="94" t="s">
        <v>19</v>
      </c>
      <c r="D36" s="94" t="s">
        <v>20</v>
      </c>
      <c r="E36" s="95"/>
      <c r="F36" s="71" t="s">
        <v>66</v>
      </c>
    </row>
    <row r="37" spans="1:6" x14ac:dyDescent="0.2">
      <c r="F37" s="72"/>
    </row>
    <row r="41" spans="1:6" x14ac:dyDescent="0.2">
      <c r="A41" s="9" t="s">
        <v>27</v>
      </c>
      <c r="B41" s="73"/>
      <c r="C41" s="73"/>
    </row>
    <row r="42" spans="1:6" x14ac:dyDescent="0.2">
      <c r="A42" s="9" t="s">
        <v>24</v>
      </c>
      <c r="B42" s="73">
        <v>118000</v>
      </c>
      <c r="C42" s="73">
        <v>95600</v>
      </c>
    </row>
    <row r="44" spans="1:6" x14ac:dyDescent="0.2">
      <c r="A44" s="60">
        <v>1</v>
      </c>
    </row>
    <row r="45" spans="1:6" x14ac:dyDescent="0.2">
      <c r="A45" s="60">
        <v>2</v>
      </c>
    </row>
    <row r="46" spans="1:6" x14ac:dyDescent="0.2">
      <c r="A46" s="60">
        <v>3</v>
      </c>
    </row>
    <row r="47" spans="1:6" x14ac:dyDescent="0.2">
      <c r="A47" s="60">
        <v>4</v>
      </c>
    </row>
    <row r="48" spans="1:6" x14ac:dyDescent="0.2">
      <c r="A48" s="60">
        <v>5</v>
      </c>
    </row>
    <row r="49" spans="1:3" x14ac:dyDescent="0.2">
      <c r="A49" s="60">
        <v>6</v>
      </c>
    </row>
    <row r="51" spans="1:3" x14ac:dyDescent="0.2">
      <c r="A51" s="76"/>
      <c r="B51" s="77"/>
      <c r="C51" s="77"/>
    </row>
    <row r="52" spans="1:3" x14ac:dyDescent="0.2">
      <c r="A52" s="78"/>
      <c r="B52" s="79">
        <v>142644594</v>
      </c>
      <c r="C52" s="78">
        <v>6.6800000000000002E-3</v>
      </c>
    </row>
    <row r="53" spans="1:3" x14ac:dyDescent="0.2">
      <c r="A53" s="79">
        <v>142644595</v>
      </c>
      <c r="B53" s="79">
        <v>247250604</v>
      </c>
      <c r="C53" s="78">
        <v>8.2900000000000005E-3</v>
      </c>
    </row>
    <row r="54" spans="1:3" x14ac:dyDescent="0.2">
      <c r="A54" s="79">
        <v>247250605</v>
      </c>
      <c r="B54" s="79">
        <v>366121415</v>
      </c>
      <c r="C54" s="78">
        <v>9.2300000000000004E-3</v>
      </c>
    </row>
    <row r="55" spans="1:3" x14ac:dyDescent="0.2">
      <c r="A55" s="79">
        <v>366121416</v>
      </c>
      <c r="B55" s="79"/>
      <c r="C55" s="78">
        <v>9.7599999999999996E-3</v>
      </c>
    </row>
    <row r="57" spans="1:3" x14ac:dyDescent="0.2">
      <c r="A57" s="79">
        <f>IF(B3&gt;B54,B3*C55,IF(B3&gt;B53,B3*C54,IF(B3&gt;B52,B3*C53,IF(B3&lt;=B52,B3*C52))))*70%</f>
        <v>2869440</v>
      </c>
      <c r="B57" s="80">
        <v>0.7</v>
      </c>
      <c r="C57" s="31" t="s">
        <v>74</v>
      </c>
    </row>
    <row r="58" spans="1:3" x14ac:dyDescent="0.2">
      <c r="A58" s="79">
        <f>IF(B3&gt;B54,B3*C55,IF(B3&gt;B53,B3*C54,IF(B3&gt;B52,B3*C53,IF(B3&lt;=B52,B3*C52))))</f>
        <v>4099200</v>
      </c>
      <c r="B58" s="80">
        <v>1</v>
      </c>
      <c r="C58" s="31" t="s">
        <v>75</v>
      </c>
    </row>
    <row r="59" spans="1:3" x14ac:dyDescent="0.2">
      <c r="A59" s="79">
        <f>IF(B1&gt;B54,B1*C55,IF(B1&gt;B53,B1*C54,IF(B1&gt;B52,B1*C53,IF(B1&lt;=B52,B1*C52))))</f>
        <v>0</v>
      </c>
    </row>
  </sheetData>
  <mergeCells count="5">
    <mergeCell ref="B33:E33"/>
    <mergeCell ref="B34:E34"/>
    <mergeCell ref="B35:E35"/>
    <mergeCell ref="B36:E36"/>
    <mergeCell ref="A27:B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Gastos 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Plata</dc:creator>
  <cp:lastModifiedBy>Sandra Acosta</cp:lastModifiedBy>
  <cp:lastPrinted>2022-03-08T01:23:12Z</cp:lastPrinted>
  <dcterms:created xsi:type="dcterms:W3CDTF">2001-04-04T19:46:06Z</dcterms:created>
  <dcterms:modified xsi:type="dcterms:W3CDTF">2022-03-09T02:41:44Z</dcterms:modified>
</cp:coreProperties>
</file>